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3470" windowHeight="11835"/>
  </bookViews>
  <sheets>
    <sheet name="Plain tube" sheetId="7" r:id="rId1"/>
    <sheet name="Angle&amp;channel" sheetId="8" r:id="rId2"/>
    <sheet name="Tube+hole" sheetId="9" r:id="rId3"/>
    <sheet name="Angle+hole" sheetId="10" r:id="rId4"/>
    <sheet name="Round tube" sheetId="11" r:id="rId5"/>
    <sheet name="Stacked sections" sheetId="12" r:id="rId6"/>
  </sheets>
  <definedNames>
    <definedName name="Brakes2">#REF!</definedName>
    <definedName name="Drawbar2">#REF!</definedName>
    <definedName name="Fabrication">#REF!</definedName>
    <definedName name="fabrication_1">#REF!</definedName>
    <definedName name="Steel">#REF!</definedName>
    <definedName name="steel_1">#REF!</definedName>
    <definedName name="Steel2">#REF!</definedName>
    <definedName name="Use">#REF!</definedName>
    <definedName name="use_1">#REF!</definedName>
  </definedNames>
  <calcPr calcId="125725"/>
</workbook>
</file>

<file path=xl/calcChain.xml><?xml version="1.0" encoding="utf-8"?>
<calcChain xmlns="http://schemas.openxmlformats.org/spreadsheetml/2006/main">
  <c r="K34" i="10"/>
  <c r="D16" i="12"/>
  <c r="I17" s="1"/>
  <c r="B16"/>
  <c r="F14"/>
  <c r="F13"/>
  <c r="F12"/>
  <c r="F16" s="1"/>
  <c r="F18" s="1"/>
  <c r="E15" i="11"/>
  <c r="D15"/>
  <c r="E14"/>
  <c r="E16" s="1"/>
  <c r="F16" s="1"/>
  <c r="D14"/>
  <c r="D16" s="1"/>
  <c r="D19" s="1"/>
  <c r="C8"/>
  <c r="E24" i="10"/>
  <c r="D23"/>
  <c r="C21"/>
  <c r="D24" s="1"/>
  <c r="F24" s="1"/>
  <c r="D15"/>
  <c r="D32" s="1"/>
  <c r="C15"/>
  <c r="E15" s="1"/>
  <c r="D14"/>
  <c r="D31" s="1"/>
  <c r="C14"/>
  <c r="E14" s="1"/>
  <c r="E41" i="9"/>
  <c r="D41"/>
  <c r="F41" s="1"/>
  <c r="G40"/>
  <c r="E40"/>
  <c r="D40"/>
  <c r="I40" s="1"/>
  <c r="G35"/>
  <c r="G41" s="1"/>
  <c r="E35"/>
  <c r="D33"/>
  <c r="C29"/>
  <c r="D35" s="1"/>
  <c r="F35" s="1"/>
  <c r="H35" s="1"/>
  <c r="E22"/>
  <c r="D22"/>
  <c r="F22" s="1"/>
  <c r="G21"/>
  <c r="E21"/>
  <c r="D21"/>
  <c r="I21" s="1"/>
  <c r="G16"/>
  <c r="G22" s="1"/>
  <c r="E16"/>
  <c r="D16"/>
  <c r="F16" s="1"/>
  <c r="H16" s="1"/>
  <c r="E15"/>
  <c r="I15" s="1"/>
  <c r="D15"/>
  <c r="F15" s="1"/>
  <c r="C9"/>
  <c r="D40" i="8"/>
  <c r="C40"/>
  <c r="J40" s="1"/>
  <c r="D39"/>
  <c r="F39" s="1"/>
  <c r="C39"/>
  <c r="E39" s="1"/>
  <c r="F29"/>
  <c r="F27"/>
  <c r="D27"/>
  <c r="C27"/>
  <c r="E27" s="1"/>
  <c r="G27" s="1"/>
  <c r="D26"/>
  <c r="C26"/>
  <c r="H26" s="1"/>
  <c r="D15"/>
  <c r="C15"/>
  <c r="E15" s="1"/>
  <c r="D14"/>
  <c r="F15" s="1"/>
  <c r="C14"/>
  <c r="J14" s="1"/>
  <c r="G27" i="7"/>
  <c r="E27"/>
  <c r="D25"/>
  <c r="E21"/>
  <c r="C21"/>
  <c r="D27" s="1"/>
  <c r="F27" s="1"/>
  <c r="H27" s="1"/>
  <c r="G16"/>
  <c r="E16"/>
  <c r="D16"/>
  <c r="F16" s="1"/>
  <c r="H16" s="1"/>
  <c r="E15"/>
  <c r="I15" s="1"/>
  <c r="J17" s="1"/>
  <c r="D15"/>
  <c r="F15" s="1"/>
  <c r="F17" s="1"/>
  <c r="C9"/>
  <c r="F22" i="12" l="1"/>
  <c r="H13"/>
  <c r="I13" s="1"/>
  <c r="F24"/>
  <c r="H14"/>
  <c r="I14" s="1"/>
  <c r="H12"/>
  <c r="I12" s="1"/>
  <c r="I16" s="1"/>
  <c r="I18" s="1"/>
  <c r="F26" s="1"/>
  <c r="F28" s="1"/>
  <c r="E16" i="10"/>
  <c r="E19" s="1"/>
  <c r="F14"/>
  <c r="J14"/>
  <c r="F15"/>
  <c r="C31"/>
  <c r="C32"/>
  <c r="E32" s="1"/>
  <c r="E23"/>
  <c r="F23" s="1"/>
  <c r="H22" i="9"/>
  <c r="J17"/>
  <c r="H41"/>
  <c r="F21"/>
  <c r="C30"/>
  <c r="E33"/>
  <c r="I34"/>
  <c r="F40"/>
  <c r="E29"/>
  <c r="F34"/>
  <c r="G15" i="8"/>
  <c r="G39"/>
  <c r="E14"/>
  <c r="E26"/>
  <c r="E40"/>
  <c r="F14"/>
  <c r="F40"/>
  <c r="K17" i="7"/>
  <c r="C22"/>
  <c r="E25"/>
  <c r="G26" s="1"/>
  <c r="I25"/>
  <c r="I26"/>
  <c r="F26"/>
  <c r="H26" s="1"/>
  <c r="F32" i="10" l="1"/>
  <c r="F31"/>
  <c r="G15"/>
  <c r="J31"/>
  <c r="E31"/>
  <c r="G14"/>
  <c r="K17" i="9"/>
  <c r="J23"/>
  <c r="K23" s="1"/>
  <c r="G34"/>
  <c r="I33"/>
  <c r="H34"/>
  <c r="F33"/>
  <c r="G40" i="8"/>
  <c r="E16"/>
  <c r="E19" s="1"/>
  <c r="G14"/>
  <c r="G16" s="1"/>
  <c r="F17" s="1"/>
  <c r="G41"/>
  <c r="G26"/>
  <c r="I28" s="1"/>
  <c r="J28" s="1"/>
  <c r="E28"/>
  <c r="E30" s="1"/>
  <c r="H14"/>
  <c r="I14" s="1"/>
  <c r="E41"/>
  <c r="E44" s="1"/>
  <c r="J28" i="7"/>
  <c r="F25"/>
  <c r="F28" s="1"/>
  <c r="E33" i="10" l="1"/>
  <c r="G31"/>
  <c r="G16"/>
  <c r="F17" s="1"/>
  <c r="G32"/>
  <c r="J36" i="9"/>
  <c r="F18" i="8"/>
  <c r="H15"/>
  <c r="I15" s="1"/>
  <c r="K16" s="1"/>
  <c r="L16" s="1"/>
  <c r="F42"/>
  <c r="K28" i="7"/>
  <c r="F30"/>
  <c r="G33" i="10" l="1"/>
  <c r="F34" s="1"/>
  <c r="F18"/>
  <c r="H15"/>
  <c r="I15" s="1"/>
  <c r="H14"/>
  <c r="I14" s="1"/>
  <c r="K16" s="1"/>
  <c r="L16" s="1"/>
  <c r="K36" i="9"/>
  <c r="J42"/>
  <c r="K42" s="1"/>
  <c r="H39" i="8"/>
  <c r="I39" s="1"/>
  <c r="F43"/>
  <c r="H40"/>
  <c r="I40" s="1"/>
  <c r="F35" i="10" l="1"/>
  <c r="H31"/>
  <c r="I31" s="1"/>
  <c r="H32"/>
  <c r="I32" s="1"/>
  <c r="K41" i="8"/>
  <c r="L41" s="1"/>
  <c r="K33" i="10" l="1"/>
  <c r="L33" l="1"/>
  <c r="L34" s="1"/>
</calcChain>
</file>

<file path=xl/sharedStrings.xml><?xml version="1.0" encoding="utf-8"?>
<sst xmlns="http://schemas.openxmlformats.org/spreadsheetml/2006/main" count="431" uniqueCount="102">
  <si>
    <t>Angle</t>
  </si>
  <si>
    <t>Channel</t>
  </si>
  <si>
    <t>Total</t>
  </si>
  <si>
    <t>SQUARE &amp; RECTANGULAR TUBE PROPERTIES</t>
  </si>
  <si>
    <t>Dimensions</t>
  </si>
  <si>
    <t>Enter your data in boxes with red text</t>
  </si>
  <si>
    <t>Tube height</t>
  </si>
  <si>
    <t>in</t>
  </si>
  <si>
    <t>Tube width</t>
  </si>
  <si>
    <t>Wall thickness</t>
  </si>
  <si>
    <t>y max</t>
  </si>
  <si>
    <t>Vertical</t>
  </si>
  <si>
    <t>No Corner Radii (ie, square corners)</t>
  </si>
  <si>
    <t>Moment of</t>
  </si>
  <si>
    <t>Section</t>
  </si>
  <si>
    <t>Inertia</t>
  </si>
  <si>
    <t>Modulus</t>
  </si>
  <si>
    <t>No</t>
  </si>
  <si>
    <t>b</t>
  </si>
  <si>
    <t>d</t>
  </si>
  <si>
    <t>A</t>
  </si>
  <si>
    <t>y</t>
  </si>
  <si>
    <t>Ay2</t>
  </si>
  <si>
    <t>Iself</t>
  </si>
  <si>
    <t>I</t>
  </si>
  <si>
    <t>Z</t>
  </si>
  <si>
    <t>in2</t>
  </si>
  <si>
    <t>in4</t>
  </si>
  <si>
    <t>in3</t>
  </si>
  <si>
    <t>Webs</t>
  </si>
  <si>
    <t>-</t>
  </si>
  <si>
    <t>Flanges</t>
  </si>
  <si>
    <t>With Corner Radii</t>
  </si>
  <si>
    <t>External radius</t>
  </si>
  <si>
    <t>in    or</t>
  </si>
  <si>
    <t>x wall thickness</t>
  </si>
  <si>
    <t>Corners</t>
  </si>
  <si>
    <t>Weight, lb/ft</t>
  </si>
  <si>
    <t>Read results in boxes with blue text</t>
  </si>
  <si>
    <t>ANGLE AND CHANNEL PROPERTIES</t>
  </si>
  <si>
    <t>Notes:</t>
  </si>
  <si>
    <t>Section height</t>
  </si>
  <si>
    <t>- for angle, y is measured from bottom of section, y' from the neutral axis</t>
  </si>
  <si>
    <t>Section width</t>
  </si>
  <si>
    <t>- channel is oriented with one side open - with flanges top and bottom</t>
  </si>
  <si>
    <t>- corner radii are ignored</t>
  </si>
  <si>
    <t>Ay</t>
  </si>
  <si>
    <t>y'</t>
  </si>
  <si>
    <t>Ay'2</t>
  </si>
  <si>
    <t>Web</t>
  </si>
  <si>
    <t>Flange</t>
  </si>
  <si>
    <t>y bar</t>
  </si>
  <si>
    <t>90 deg Channel</t>
  </si>
  <si>
    <t>Channel with web horizontal and flanges on left and right</t>
  </si>
  <si>
    <t>SQUARE &amp; RECTANGULAR TUBE PROPERTIES - WITH HOLES</t>
  </si>
  <si>
    <t>Hole diam</t>
  </si>
  <si>
    <t>change</t>
  </si>
  <si>
    <t>Net I</t>
  </si>
  <si>
    <t>Net Z</t>
  </si>
  <si>
    <t>Horizontal* hole</t>
  </si>
  <si>
    <t>Vertical* hole</t>
  </si>
  <si>
    <t>Results with hole</t>
  </si>
  <si>
    <t>* One horizontal hole pierces the two sides at mid-height,</t>
  </si>
  <si>
    <t>one vertical hole pierces the top and bottom on the centreline.</t>
  </si>
  <si>
    <t>Horizontal hole</t>
  </si>
  <si>
    <t>Vertical hole</t>
  </si>
  <si>
    <t>ANGLE PROPERTIES - WITH HOLE</t>
  </si>
  <si>
    <t>* One horizontal hole pierces the side (web) at mid-height,</t>
  </si>
  <si>
    <t>one vertical hole pierces the top (flange) on the centreline.</t>
  </si>
  <si>
    <t>Angle with hole</t>
  </si>
  <si>
    <t>Change</t>
  </si>
  <si>
    <t>Angle without hole</t>
  </si>
  <si>
    <t>Results without hole</t>
  </si>
  <si>
    <t>ROUND TUBE PROPERTIES</t>
  </si>
  <si>
    <t>Tube diam</t>
  </si>
  <si>
    <t>Outer diam</t>
  </si>
  <si>
    <t>Inner diam</t>
  </si>
  <si>
    <t>All measurements from top of top section.</t>
  </si>
  <si>
    <t>Dist to</t>
  </si>
  <si>
    <t>Own Vert</t>
  </si>
  <si>
    <t>Centres</t>
  </si>
  <si>
    <t>Input in</t>
  </si>
  <si>
    <t>centres</t>
  </si>
  <si>
    <t>Mom Inert</t>
  </si>
  <si>
    <t>from NA</t>
  </si>
  <si>
    <t>red areas</t>
  </si>
  <si>
    <t>y1, y2</t>
  </si>
  <si>
    <t>Iyy</t>
  </si>
  <si>
    <t>h</t>
  </si>
  <si>
    <t>Ah2</t>
  </si>
  <si>
    <t>Section 1</t>
  </si>
  <si>
    <t>Section 2</t>
  </si>
  <si>
    <t>Section 3</t>
  </si>
  <si>
    <t>+ Iyy</t>
  </si>
  <si>
    <t>Neutral axis below top, ybar, in</t>
  </si>
  <si>
    <t>Neutral axis above bottom, in</t>
  </si>
  <si>
    <t>Maximum distance from neutral axis, in</t>
  </si>
  <si>
    <t>Total Vertical Moment of Inertia, I, in4</t>
  </si>
  <si>
    <t>Total Section Modulus, Z, in3</t>
  </si>
  <si>
    <t>STACKED SECTIONS</t>
  </si>
  <si>
    <t>Up to three sections on top of each other and connected together.</t>
  </si>
  <si>
    <t>Overall depth of stacked sections, in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</si>
</sst>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" fontId="0" fillId="0" borderId="0" xfId="0" applyNumberFormat="1"/>
    <xf numFmtId="2" fontId="0" fillId="0" borderId="0" xfId="0" applyNumberFormat="1"/>
    <xf numFmtId="0" fontId="0" fillId="0" borderId="0" xfId="0" quotePrefix="1"/>
    <xf numFmtId="0" fontId="2" fillId="0" borderId="0" xfId="0" applyFont="1"/>
    <xf numFmtId="0" fontId="3" fillId="0" borderId="0" xfId="0" applyFont="1"/>
    <xf numFmtId="2" fontId="4" fillId="0" borderId="1" xfId="0" applyNumberFormat="1" applyFont="1" applyBorder="1" applyProtection="1"/>
    <xf numFmtId="164" fontId="4" fillId="0" borderId="1" xfId="0" applyNumberFormat="1" applyFont="1" applyBorder="1" applyProtection="1"/>
    <xf numFmtId="0" fontId="0" fillId="0" borderId="0" xfId="0" applyAlignment="1">
      <alignment horizontal="right"/>
    </xf>
    <xf numFmtId="164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164" fontId="0" fillId="0" borderId="3" xfId="0" applyNumberFormat="1" applyBorder="1"/>
    <xf numFmtId="164" fontId="6" fillId="0" borderId="1" xfId="0" applyNumberFormat="1" applyFont="1" applyBorder="1"/>
    <xf numFmtId="0" fontId="4" fillId="0" borderId="0" xfId="0" applyFont="1"/>
    <xf numFmtId="165" fontId="0" fillId="0" borderId="0" xfId="1" applyNumberFormat="1" applyFont="1"/>
    <xf numFmtId="2" fontId="6" fillId="0" borderId="1" xfId="0" applyNumberFormat="1" applyFont="1" applyBorder="1"/>
    <xf numFmtId="0" fontId="7" fillId="0" borderId="0" xfId="0" applyFont="1"/>
    <xf numFmtId="0" fontId="8" fillId="0" borderId="0" xfId="2" applyAlignment="1" applyProtection="1"/>
    <xf numFmtId="2" fontId="4" fillId="0" borderId="1" xfId="0" applyNumberFormat="1" applyFont="1" applyBorder="1"/>
    <xf numFmtId="164" fontId="4" fillId="0" borderId="1" xfId="0" applyNumberFormat="1" applyFont="1" applyBorder="1"/>
    <xf numFmtId="164" fontId="4" fillId="0" borderId="0" xfId="0" applyNumberFormat="1" applyFont="1" applyBorder="1"/>
    <xf numFmtId="2" fontId="6" fillId="0" borderId="0" xfId="0" applyNumberFormat="1" applyFont="1" applyBorder="1"/>
    <xf numFmtId="164" fontId="5" fillId="0" borderId="0" xfId="0" applyNumberFormat="1" applyFont="1" applyBorder="1"/>
    <xf numFmtId="0" fontId="4" fillId="0" borderId="1" xfId="0" applyFont="1" applyBorder="1"/>
    <xf numFmtId="0" fontId="9" fillId="0" borderId="0" xfId="0" applyFont="1" applyBorder="1"/>
    <xf numFmtId="164" fontId="7" fillId="0" borderId="0" xfId="0" applyNumberFormat="1" applyFont="1" applyBorder="1"/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7" fillId="0" borderId="0" xfId="0" applyFont="1" applyBorder="1"/>
    <xf numFmtId="9" fontId="6" fillId="0" borderId="0" xfId="1" applyFont="1"/>
    <xf numFmtId="164" fontId="10" fillId="0" borderId="2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quotePrefix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9" fontId="5" fillId="0" borderId="0" xfId="1" applyFont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/>
  </sheetViews>
  <sheetFormatPr defaultRowHeight="15"/>
  <sheetData>
    <row r="1" spans="1:16">
      <c r="A1" s="9" t="s">
        <v>3</v>
      </c>
    </row>
    <row r="4" spans="1:16">
      <c r="A4" s="9" t="s">
        <v>4</v>
      </c>
      <c r="C4" s="10" t="s">
        <v>5</v>
      </c>
    </row>
    <row r="6" spans="1:16">
      <c r="A6" t="s">
        <v>6</v>
      </c>
      <c r="C6" s="11">
        <v>2</v>
      </c>
      <c r="D6" t="s">
        <v>7</v>
      </c>
    </row>
    <row r="7" spans="1:16">
      <c r="A7" t="s">
        <v>8</v>
      </c>
      <c r="C7" s="11">
        <v>2</v>
      </c>
      <c r="D7" t="s">
        <v>7</v>
      </c>
    </row>
    <row r="8" spans="1:16">
      <c r="A8" t="s">
        <v>9</v>
      </c>
      <c r="C8" s="12">
        <v>0.125</v>
      </c>
      <c r="D8" t="s">
        <v>7</v>
      </c>
    </row>
    <row r="9" spans="1:16">
      <c r="A9" t="s">
        <v>10</v>
      </c>
      <c r="C9" s="7">
        <f>C6/2</f>
        <v>1</v>
      </c>
      <c r="D9" t="s">
        <v>7</v>
      </c>
    </row>
    <row r="10" spans="1:16">
      <c r="C10" s="7"/>
      <c r="J10" s="13" t="s">
        <v>11</v>
      </c>
      <c r="K10" s="13" t="s">
        <v>11</v>
      </c>
    </row>
    <row r="11" spans="1:16">
      <c r="A11" s="9" t="s">
        <v>12</v>
      </c>
      <c r="C11" s="7"/>
      <c r="J11" s="13" t="s">
        <v>13</v>
      </c>
      <c r="K11" s="13" t="s">
        <v>14</v>
      </c>
    </row>
    <row r="12" spans="1:16">
      <c r="J12" s="13" t="s">
        <v>15</v>
      </c>
      <c r="K12" s="13" t="s">
        <v>16</v>
      </c>
    </row>
    <row r="13" spans="1:16">
      <c r="C13" s="13" t="s">
        <v>17</v>
      </c>
      <c r="D13" s="13" t="s">
        <v>18</v>
      </c>
      <c r="E13" s="13" t="s">
        <v>19</v>
      </c>
      <c r="F13" s="13" t="s">
        <v>20</v>
      </c>
      <c r="G13" s="13" t="s">
        <v>21</v>
      </c>
      <c r="H13" s="13" t="s">
        <v>22</v>
      </c>
      <c r="I13" s="13" t="s">
        <v>23</v>
      </c>
      <c r="J13" s="13" t="s">
        <v>24</v>
      </c>
      <c r="K13" s="13" t="s">
        <v>25</v>
      </c>
      <c r="M13" s="13"/>
      <c r="N13" s="13"/>
    </row>
    <row r="14" spans="1:16">
      <c r="C14" s="13"/>
      <c r="D14" s="13" t="s">
        <v>7</v>
      </c>
      <c r="E14" s="13" t="s">
        <v>7</v>
      </c>
      <c r="F14" s="13" t="s">
        <v>26</v>
      </c>
      <c r="G14" s="13" t="s">
        <v>7</v>
      </c>
      <c r="H14" s="13" t="s">
        <v>27</v>
      </c>
      <c r="I14" s="13" t="s">
        <v>27</v>
      </c>
      <c r="J14" s="13" t="s">
        <v>27</v>
      </c>
      <c r="K14" s="13" t="s">
        <v>28</v>
      </c>
      <c r="M14" s="13"/>
      <c r="N14" s="13"/>
      <c r="P14" s="13"/>
    </row>
    <row r="15" spans="1:16">
      <c r="A15" t="s">
        <v>29</v>
      </c>
      <c r="C15">
        <v>2</v>
      </c>
      <c r="D15" s="14">
        <f>C8</f>
        <v>0.125</v>
      </c>
      <c r="E15">
        <f>C6-(2*C8)</f>
        <v>1.75</v>
      </c>
      <c r="F15" s="14">
        <f>C15*D15*E15</f>
        <v>0.4375</v>
      </c>
      <c r="G15" s="15">
        <v>0</v>
      </c>
      <c r="H15" s="16" t="s">
        <v>30</v>
      </c>
      <c r="I15" s="14">
        <f>C15*D15*E15^3/12</f>
        <v>0.11165364583333333</v>
      </c>
    </row>
    <row r="16" spans="1:16">
      <c r="A16" t="s">
        <v>31</v>
      </c>
      <c r="C16">
        <v>2</v>
      </c>
      <c r="D16" s="7">
        <f>C7</f>
        <v>2</v>
      </c>
      <c r="E16" s="14">
        <f>C8</f>
        <v>0.125</v>
      </c>
      <c r="F16" s="14">
        <f>C16*D16*E16</f>
        <v>0.5</v>
      </c>
      <c r="G16" s="14">
        <f>(C6-C8)/2</f>
        <v>0.9375</v>
      </c>
      <c r="H16" s="14">
        <f>F16*G16*G16</f>
        <v>0.439453125</v>
      </c>
      <c r="I16" s="16" t="s">
        <v>30</v>
      </c>
      <c r="J16" s="17"/>
    </row>
    <row r="17" spans="1:14">
      <c r="A17" t="s">
        <v>2</v>
      </c>
      <c r="D17" s="7"/>
      <c r="E17" s="14"/>
      <c r="F17" s="18">
        <f>SUM(F15:F16)</f>
        <v>0.9375</v>
      </c>
      <c r="H17" s="14"/>
      <c r="I17" s="16"/>
      <c r="J17" s="29">
        <f>I15+H16</f>
        <v>0.55110677083333337</v>
      </c>
      <c r="K17" s="19">
        <f>J17/C9</f>
        <v>0.55110677083333337</v>
      </c>
      <c r="M17" s="7"/>
      <c r="N17" s="7"/>
    </row>
    <row r="19" spans="1:14">
      <c r="A19" s="9" t="s">
        <v>32</v>
      </c>
    </row>
    <row r="20" spans="1:14">
      <c r="J20" s="13" t="s">
        <v>11</v>
      </c>
      <c r="K20" s="13" t="s">
        <v>11</v>
      </c>
    </row>
    <row r="21" spans="1:14">
      <c r="A21" t="s">
        <v>33</v>
      </c>
      <c r="C21" s="11">
        <f>2*C8</f>
        <v>0.25</v>
      </c>
      <c r="D21" t="s">
        <v>34</v>
      </c>
      <c r="E21" s="1">
        <f>C21/C8</f>
        <v>2</v>
      </c>
      <c r="F21" t="s">
        <v>35</v>
      </c>
      <c r="J21" s="13" t="s">
        <v>13</v>
      </c>
      <c r="K21" s="13" t="s">
        <v>14</v>
      </c>
    </row>
    <row r="22" spans="1:14">
      <c r="C22" s="20" t="str">
        <f>IF(C21&lt;C8,"ERROR: Radius must be greater than wall thickness","")</f>
        <v/>
      </c>
      <c r="J22" s="13" t="s">
        <v>15</v>
      </c>
      <c r="K22" s="13" t="s">
        <v>16</v>
      </c>
    </row>
    <row r="23" spans="1:14">
      <c r="C23" s="13" t="s">
        <v>17</v>
      </c>
      <c r="D23" s="13" t="s">
        <v>18</v>
      </c>
      <c r="E23" s="13" t="s">
        <v>19</v>
      </c>
      <c r="F23" s="13" t="s">
        <v>20</v>
      </c>
      <c r="G23" s="13" t="s">
        <v>21</v>
      </c>
      <c r="H23" s="13" t="s">
        <v>22</v>
      </c>
      <c r="I23" s="13" t="s">
        <v>23</v>
      </c>
      <c r="J23" s="13" t="s">
        <v>24</v>
      </c>
      <c r="K23" s="13" t="s">
        <v>25</v>
      </c>
      <c r="L23" s="13"/>
    </row>
    <row r="24" spans="1:14">
      <c r="C24" s="13"/>
      <c r="D24" s="13" t="s">
        <v>7</v>
      </c>
      <c r="E24" s="13" t="s">
        <v>7</v>
      </c>
      <c r="F24" s="13" t="s">
        <v>26</v>
      </c>
      <c r="G24" s="13" t="s">
        <v>7</v>
      </c>
      <c r="H24" s="13" t="s">
        <v>27</v>
      </c>
      <c r="I24" s="13" t="s">
        <v>27</v>
      </c>
      <c r="J24" s="13" t="s">
        <v>27</v>
      </c>
      <c r="K24" s="13" t="s">
        <v>28</v>
      </c>
    </row>
    <row r="25" spans="1:14">
      <c r="A25" t="s">
        <v>29</v>
      </c>
      <c r="C25">
        <v>2</v>
      </c>
      <c r="D25" s="14">
        <f>C8</f>
        <v>0.125</v>
      </c>
      <c r="E25" s="7">
        <f>C6-C21-C21</f>
        <v>1.5</v>
      </c>
      <c r="F25" s="14">
        <f>C25*D25*E25</f>
        <v>0.375</v>
      </c>
      <c r="G25" s="15">
        <v>0</v>
      </c>
      <c r="H25" s="16" t="s">
        <v>30</v>
      </c>
      <c r="I25" s="14">
        <f>C25*D25*E25^3/12</f>
        <v>7.03125E-2</v>
      </c>
    </row>
    <row r="26" spans="1:14">
      <c r="A26" t="s">
        <v>36</v>
      </c>
      <c r="C26">
        <v>4</v>
      </c>
      <c r="D26" s="14"/>
      <c r="F26" s="14">
        <f>C26*0.25*PI()*(C21^2-(C21-C8)^2)</f>
        <v>0.14726215563702155</v>
      </c>
      <c r="G26" s="14">
        <f>(E25/2)+0.625*(C21-C8/2)</f>
        <v>0.8671875</v>
      </c>
      <c r="H26" s="14">
        <f>F26*G26*G26</f>
        <v>0.11074322629417374</v>
      </c>
      <c r="I26" s="16">
        <f>C26*C8*C21^3/12</f>
        <v>6.5104166666666663E-4</v>
      </c>
    </row>
    <row r="27" spans="1:14">
      <c r="A27" t="s">
        <v>31</v>
      </c>
      <c r="C27">
        <v>2</v>
      </c>
      <c r="D27" s="7">
        <f>C7-C21-C21</f>
        <v>1.5</v>
      </c>
      <c r="E27" s="14">
        <f>C8</f>
        <v>0.125</v>
      </c>
      <c r="F27" s="14">
        <f>C27*D27*E27</f>
        <v>0.375</v>
      </c>
      <c r="G27" s="14">
        <f>(C6-C8)/2</f>
        <v>0.9375</v>
      </c>
      <c r="H27" s="14">
        <f>F27*G27*G27</f>
        <v>0.32958984375</v>
      </c>
      <c r="I27" s="16" t="s">
        <v>30</v>
      </c>
    </row>
    <row r="28" spans="1:14">
      <c r="A28" t="s">
        <v>2</v>
      </c>
      <c r="F28" s="18">
        <f>SUM(F25:F27)</f>
        <v>0.8972621556370215</v>
      </c>
      <c r="H28" s="14"/>
      <c r="I28" s="16"/>
      <c r="J28" s="29">
        <f>SUM(H25:I27)</f>
        <v>0.5112966117108404</v>
      </c>
      <c r="K28" s="19">
        <f>J28/C9</f>
        <v>0.5112966117108404</v>
      </c>
      <c r="L28" s="21"/>
      <c r="M28" s="7"/>
      <c r="N28" s="7"/>
    </row>
    <row r="30" spans="1:14">
      <c r="A30" t="s">
        <v>37</v>
      </c>
      <c r="F30" s="22">
        <f>12*7854*0.0254^3/0.454*F28</f>
        <v>3.0523672881333352</v>
      </c>
      <c r="H30" s="23"/>
      <c r="I30" s="23" t="s">
        <v>38</v>
      </c>
      <c r="N30" s="7"/>
    </row>
    <row r="33" spans="1:1">
      <c r="A33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sheetFormatPr defaultRowHeight="15"/>
  <sheetData>
    <row r="1" spans="1:12">
      <c r="A1" s="9" t="s">
        <v>39</v>
      </c>
    </row>
    <row r="4" spans="1:12">
      <c r="A4" s="9" t="s">
        <v>4</v>
      </c>
      <c r="C4" s="10" t="s">
        <v>5</v>
      </c>
    </row>
    <row r="5" spans="1:12">
      <c r="E5" t="s">
        <v>40</v>
      </c>
    </row>
    <row r="6" spans="1:12">
      <c r="A6" t="s">
        <v>41</v>
      </c>
      <c r="C6" s="25">
        <v>5</v>
      </c>
      <c r="D6" t="s">
        <v>7</v>
      </c>
      <c r="E6" s="8" t="s">
        <v>42</v>
      </c>
    </row>
    <row r="7" spans="1:12">
      <c r="A7" t="s">
        <v>43</v>
      </c>
      <c r="C7" s="25">
        <v>1.75</v>
      </c>
      <c r="D7" t="s">
        <v>7</v>
      </c>
      <c r="E7" s="8" t="s">
        <v>44</v>
      </c>
    </row>
    <row r="8" spans="1:12">
      <c r="A8" t="s">
        <v>9</v>
      </c>
      <c r="C8" s="26">
        <v>0.32</v>
      </c>
      <c r="D8" t="s">
        <v>7</v>
      </c>
      <c r="E8" s="8" t="s">
        <v>45</v>
      </c>
    </row>
    <row r="9" spans="1:12">
      <c r="C9" s="27"/>
      <c r="K9" s="13" t="s">
        <v>11</v>
      </c>
      <c r="L9" s="13" t="s">
        <v>11</v>
      </c>
    </row>
    <row r="10" spans="1:12">
      <c r="A10" s="9" t="s">
        <v>0</v>
      </c>
      <c r="C10" s="7"/>
      <c r="K10" s="13" t="s">
        <v>13</v>
      </c>
      <c r="L10" s="13" t="s">
        <v>14</v>
      </c>
    </row>
    <row r="11" spans="1:12">
      <c r="K11" s="13" t="s">
        <v>15</v>
      </c>
      <c r="L11" s="13" t="s">
        <v>16</v>
      </c>
    </row>
    <row r="12" spans="1:12">
      <c r="C12" s="13" t="s">
        <v>18</v>
      </c>
      <c r="D12" s="13" t="s">
        <v>19</v>
      </c>
      <c r="E12" s="13" t="s">
        <v>20</v>
      </c>
      <c r="F12" s="13" t="s">
        <v>21</v>
      </c>
      <c r="G12" s="13" t="s">
        <v>46</v>
      </c>
      <c r="H12" s="13" t="s">
        <v>47</v>
      </c>
      <c r="I12" s="13" t="s">
        <v>48</v>
      </c>
      <c r="J12" s="13" t="s">
        <v>23</v>
      </c>
      <c r="K12" s="13" t="s">
        <v>24</v>
      </c>
      <c r="L12" s="13" t="s">
        <v>25</v>
      </c>
    </row>
    <row r="13" spans="1:12">
      <c r="C13" s="13" t="s">
        <v>7</v>
      </c>
      <c r="D13" s="13" t="s">
        <v>7</v>
      </c>
      <c r="E13" s="13" t="s">
        <v>26</v>
      </c>
      <c r="F13" s="13" t="s">
        <v>7</v>
      </c>
      <c r="G13" s="13" t="s">
        <v>28</v>
      </c>
      <c r="H13" s="13" t="s">
        <v>7</v>
      </c>
      <c r="I13" s="13" t="s">
        <v>27</v>
      </c>
      <c r="J13" s="13" t="s">
        <v>27</v>
      </c>
      <c r="K13" s="13" t="s">
        <v>27</v>
      </c>
      <c r="L13" s="13" t="s">
        <v>28</v>
      </c>
    </row>
    <row r="14" spans="1:12">
      <c r="A14" t="s">
        <v>49</v>
      </c>
      <c r="C14" s="14">
        <f>C8</f>
        <v>0.32</v>
      </c>
      <c r="D14" s="14">
        <f>C6-C8</f>
        <v>4.68</v>
      </c>
      <c r="E14" s="14">
        <f>C14*D14</f>
        <v>1.4976</v>
      </c>
      <c r="F14" s="14">
        <f>D14/2</f>
        <v>2.34</v>
      </c>
      <c r="G14" s="14">
        <f>E14*F14</f>
        <v>3.5043839999999999</v>
      </c>
      <c r="H14" s="14">
        <f>ABS(F14-F$17)</f>
        <v>0.68040435458786952</v>
      </c>
      <c r="I14" s="14">
        <f>E14*H14^2</f>
        <v>0.69331404840742172</v>
      </c>
      <c r="J14" s="14">
        <f>C14*D14^3/12</f>
        <v>2.7334195199999995</v>
      </c>
    </row>
    <row r="15" spans="1:12">
      <c r="A15" t="s">
        <v>50</v>
      </c>
      <c r="C15" s="7">
        <f>C7</f>
        <v>1.75</v>
      </c>
      <c r="D15" s="14">
        <f>C8</f>
        <v>0.32</v>
      </c>
      <c r="E15" s="14">
        <f>C15*D15</f>
        <v>0.56000000000000005</v>
      </c>
      <c r="F15" s="14">
        <f>D14+D15/2</f>
        <v>4.84</v>
      </c>
      <c r="G15" s="14">
        <f>E15*F15</f>
        <v>2.7104000000000004</v>
      </c>
      <c r="H15" s="14">
        <f>ABS(F15-F$17)</f>
        <v>1.8195956454121305</v>
      </c>
      <c r="I15" s="14">
        <f>E15*H15^2</f>
        <v>1.8541198551695612</v>
      </c>
      <c r="J15" s="16" t="s">
        <v>30</v>
      </c>
    </row>
    <row r="16" spans="1:12">
      <c r="A16" t="s">
        <v>2</v>
      </c>
      <c r="C16" s="7"/>
      <c r="D16" s="14"/>
      <c r="E16" s="18">
        <f>SUM(E14:E15)</f>
        <v>2.0575999999999999</v>
      </c>
      <c r="G16" s="18">
        <f>SUM(G14:G15)</f>
        <v>6.2147839999999999</v>
      </c>
      <c r="I16" s="14"/>
      <c r="J16" s="16"/>
      <c r="K16" s="29">
        <f>I14+I15+J14</f>
        <v>5.280853423576982</v>
      </c>
      <c r="L16" s="19">
        <f>K16/F18</f>
        <v>1.7483928651988545</v>
      </c>
    </row>
    <row r="17" spans="1:10">
      <c r="A17" t="s">
        <v>51</v>
      </c>
      <c r="F17" s="14">
        <f>G16/E16</f>
        <v>3.0204043545878694</v>
      </c>
      <c r="G17" s="14"/>
      <c r="H17" s="14"/>
    </row>
    <row r="18" spans="1:10">
      <c r="A18" t="s">
        <v>10</v>
      </c>
      <c r="F18" s="14">
        <f>MAX(F17,C6-F17)</f>
        <v>3.0204043545878694</v>
      </c>
      <c r="G18" s="14"/>
      <c r="H18" s="14"/>
      <c r="I18" s="23" t="s">
        <v>38</v>
      </c>
    </row>
    <row r="19" spans="1:10">
      <c r="A19" t="s">
        <v>37</v>
      </c>
      <c r="E19" s="22">
        <f>12*7854*0.0254^3/0.454*E16</f>
        <v>6.9996833061617325</v>
      </c>
    </row>
    <row r="20" spans="1:10">
      <c r="E20" s="28"/>
    </row>
    <row r="21" spans="1:10">
      <c r="C21" s="27"/>
      <c r="I21" s="13" t="s">
        <v>11</v>
      </c>
      <c r="J21" s="13" t="s">
        <v>11</v>
      </c>
    </row>
    <row r="22" spans="1:10">
      <c r="A22" s="9" t="s">
        <v>1</v>
      </c>
      <c r="C22" s="7"/>
      <c r="I22" s="13" t="s">
        <v>13</v>
      </c>
      <c r="J22" s="13" t="s">
        <v>14</v>
      </c>
    </row>
    <row r="23" spans="1:10">
      <c r="I23" s="13" t="s">
        <v>15</v>
      </c>
      <c r="J23" s="13" t="s">
        <v>16</v>
      </c>
    </row>
    <row r="24" spans="1:10">
      <c r="C24" s="13" t="s">
        <v>18</v>
      </c>
      <c r="D24" s="13" t="s">
        <v>19</v>
      </c>
      <c r="E24" s="13" t="s">
        <v>20</v>
      </c>
      <c r="F24" s="13" t="s">
        <v>21</v>
      </c>
      <c r="G24" s="13" t="s">
        <v>22</v>
      </c>
      <c r="H24" s="13" t="s">
        <v>23</v>
      </c>
      <c r="I24" s="13" t="s">
        <v>24</v>
      </c>
      <c r="J24" s="13" t="s">
        <v>25</v>
      </c>
    </row>
    <row r="25" spans="1:10">
      <c r="C25" s="13" t="s">
        <v>7</v>
      </c>
      <c r="D25" s="13" t="s">
        <v>7</v>
      </c>
      <c r="E25" s="13" t="s">
        <v>26</v>
      </c>
      <c r="F25" s="13" t="s">
        <v>7</v>
      </c>
      <c r="G25" s="13" t="s">
        <v>27</v>
      </c>
      <c r="H25" s="13" t="s">
        <v>27</v>
      </c>
      <c r="I25" s="13" t="s">
        <v>27</v>
      </c>
      <c r="J25" s="13" t="s">
        <v>28</v>
      </c>
    </row>
    <row r="26" spans="1:10">
      <c r="A26" t="s">
        <v>49</v>
      </c>
      <c r="C26" s="14">
        <f>C8</f>
        <v>0.32</v>
      </c>
      <c r="D26">
        <f>C6-2*C8</f>
        <v>4.3600000000000003</v>
      </c>
      <c r="E26" s="14">
        <f>C26*D26</f>
        <v>1.3952000000000002</v>
      </c>
      <c r="F26">
        <v>0</v>
      </c>
      <c r="G26" s="14">
        <f>E26*F26^2</f>
        <v>0</v>
      </c>
      <c r="H26" s="14">
        <f>C26*D26^3/12</f>
        <v>2.2101828266666672</v>
      </c>
    </row>
    <row r="27" spans="1:10">
      <c r="A27" t="s">
        <v>31</v>
      </c>
      <c r="C27" s="7">
        <f>C7</f>
        <v>1.75</v>
      </c>
      <c r="D27" s="14">
        <f>C8</f>
        <v>0.32</v>
      </c>
      <c r="E27" s="14">
        <f>2*C27*D27</f>
        <v>1.1200000000000001</v>
      </c>
      <c r="F27" s="14">
        <f>(C6-C8)/2</f>
        <v>2.34</v>
      </c>
      <c r="G27" s="14">
        <f>E27*F27^2</f>
        <v>6.1326719999999995</v>
      </c>
      <c r="H27" s="16" t="s">
        <v>30</v>
      </c>
    </row>
    <row r="28" spans="1:10">
      <c r="A28" t="s">
        <v>2</v>
      </c>
      <c r="C28" s="7"/>
      <c r="D28" s="14"/>
      <c r="E28" s="18">
        <f>SUM(E26:E27)</f>
        <v>2.5152000000000001</v>
      </c>
      <c r="G28" s="14"/>
      <c r="H28" s="16"/>
      <c r="I28" s="29">
        <f>G26+G27+H26</f>
        <v>8.3428548266666667</v>
      </c>
      <c r="J28" s="19">
        <f>I28/F29</f>
        <v>3.3371419306666668</v>
      </c>
    </row>
    <row r="29" spans="1:10">
      <c r="A29" t="s">
        <v>10</v>
      </c>
      <c r="F29" s="14">
        <f>C6/2</f>
        <v>2.5</v>
      </c>
      <c r="G29" s="14"/>
      <c r="H29" s="14"/>
    </row>
    <row r="30" spans="1:10">
      <c r="A30" t="s">
        <v>37</v>
      </c>
      <c r="E30" s="22">
        <f>12*7854*0.0254^3/0.454*E28</f>
        <v>8.5563780383252297</v>
      </c>
      <c r="I30" s="23"/>
    </row>
    <row r="34" spans="1:12">
      <c r="A34" s="9" t="s">
        <v>52</v>
      </c>
      <c r="K34" s="13" t="s">
        <v>11</v>
      </c>
      <c r="L34" s="13" t="s">
        <v>11</v>
      </c>
    </row>
    <row r="35" spans="1:12">
      <c r="A35" t="s">
        <v>53</v>
      </c>
      <c r="K35" s="13" t="s">
        <v>13</v>
      </c>
      <c r="L35" s="13" t="s">
        <v>14</v>
      </c>
    </row>
    <row r="36" spans="1:12">
      <c r="K36" s="13" t="s">
        <v>15</v>
      </c>
      <c r="L36" s="13" t="s">
        <v>16</v>
      </c>
    </row>
    <row r="37" spans="1:12">
      <c r="C37" s="13" t="s">
        <v>18</v>
      </c>
      <c r="D37" s="13" t="s">
        <v>19</v>
      </c>
      <c r="E37" s="13" t="s">
        <v>20</v>
      </c>
      <c r="F37" s="13" t="s">
        <v>21</v>
      </c>
      <c r="G37" s="13" t="s">
        <v>46</v>
      </c>
      <c r="H37" s="13" t="s">
        <v>47</v>
      </c>
      <c r="I37" s="13" t="s">
        <v>48</v>
      </c>
      <c r="J37" s="13" t="s">
        <v>23</v>
      </c>
      <c r="K37" s="13" t="s">
        <v>24</v>
      </c>
      <c r="L37" s="13" t="s">
        <v>25</v>
      </c>
    </row>
    <row r="38" spans="1:12">
      <c r="C38" s="13" t="s">
        <v>7</v>
      </c>
      <c r="D38" s="13" t="s">
        <v>7</v>
      </c>
      <c r="E38" s="13" t="s">
        <v>26</v>
      </c>
      <c r="F38" s="13" t="s">
        <v>7</v>
      </c>
      <c r="G38" s="13" t="s">
        <v>28</v>
      </c>
      <c r="H38" s="13" t="s">
        <v>7</v>
      </c>
      <c r="I38" s="13" t="s">
        <v>27</v>
      </c>
      <c r="J38" s="13" t="s">
        <v>27</v>
      </c>
      <c r="K38" s="13" t="s">
        <v>27</v>
      </c>
      <c r="L38" s="13" t="s">
        <v>28</v>
      </c>
    </row>
    <row r="39" spans="1:12">
      <c r="A39" t="s">
        <v>49</v>
      </c>
      <c r="C39" s="14">
        <f>C6-2*C8</f>
        <v>4.3600000000000003</v>
      </c>
      <c r="D39" s="14">
        <f>C8</f>
        <v>0.32</v>
      </c>
      <c r="E39" s="14">
        <f>C39*D39</f>
        <v>1.3952000000000002</v>
      </c>
      <c r="F39" s="14">
        <f>D40-D39/2</f>
        <v>1.59</v>
      </c>
      <c r="G39" s="14">
        <f>E39*F39</f>
        <v>2.2183680000000003</v>
      </c>
      <c r="H39" s="14">
        <f>ABS(F39-F$42)</f>
        <v>0.31838422391857502</v>
      </c>
      <c r="I39" s="14">
        <f>E39*H39^2</f>
        <v>0.14142935078893354</v>
      </c>
      <c r="J39" s="16" t="s">
        <v>30</v>
      </c>
    </row>
    <row r="40" spans="1:12">
      <c r="A40" t="s">
        <v>31</v>
      </c>
      <c r="C40" s="7">
        <f>C8</f>
        <v>0.32</v>
      </c>
      <c r="D40" s="14">
        <f>C7</f>
        <v>1.75</v>
      </c>
      <c r="E40" s="14">
        <f>2*C40*D40</f>
        <v>1.1200000000000001</v>
      </c>
      <c r="F40" s="14">
        <f>D40/2</f>
        <v>0.875</v>
      </c>
      <c r="G40" s="14">
        <f>E40*F40</f>
        <v>0.98000000000000009</v>
      </c>
      <c r="H40" s="14">
        <f>ABS(F40-F$42)</f>
        <v>0.39661577608142506</v>
      </c>
      <c r="I40" s="14">
        <f>E40*H40^2</f>
        <v>0.17618056269707166</v>
      </c>
      <c r="J40" s="14">
        <f>2*C40*D40^3/12</f>
        <v>0.28583333333333333</v>
      </c>
    </row>
    <row r="41" spans="1:12">
      <c r="A41" t="s">
        <v>2</v>
      </c>
      <c r="C41" s="7"/>
      <c r="D41" s="14"/>
      <c r="E41" s="18">
        <f>SUM(E39:E40)</f>
        <v>2.5152000000000001</v>
      </c>
      <c r="G41" s="18">
        <f>SUM(G39:G40)</f>
        <v>3.1983680000000003</v>
      </c>
      <c r="I41" s="14"/>
      <c r="J41" s="16"/>
      <c r="K41" s="29">
        <f>I39+I40+J40</f>
        <v>0.60344324681933847</v>
      </c>
      <c r="L41" s="19">
        <f>K41/F43</f>
        <v>0.47454841168996187</v>
      </c>
    </row>
    <row r="42" spans="1:12">
      <c r="A42" t="s">
        <v>51</v>
      </c>
      <c r="F42" s="14">
        <f>G41/E41</f>
        <v>1.2716157760814251</v>
      </c>
      <c r="G42" s="14"/>
      <c r="H42" s="14"/>
    </row>
    <row r="43" spans="1:12">
      <c r="A43" t="s">
        <v>10</v>
      </c>
      <c r="F43" s="14">
        <f>MAX(F42,D40-F42)</f>
        <v>1.2716157760814251</v>
      </c>
      <c r="G43" s="14"/>
      <c r="H43" s="14"/>
      <c r="I43" s="23"/>
    </row>
    <row r="44" spans="1:12">
      <c r="A44" t="s">
        <v>37</v>
      </c>
      <c r="E44" s="22">
        <f>12*7854*0.0254^3/0.454*E41</f>
        <v>8.5563780383252297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workbookViewId="0"/>
  </sheetViews>
  <sheetFormatPr defaultRowHeight="15"/>
  <sheetData>
    <row r="1" spans="1:11">
      <c r="A1" s="9" t="s">
        <v>54</v>
      </c>
    </row>
    <row r="4" spans="1:11">
      <c r="A4" s="9" t="s">
        <v>4</v>
      </c>
      <c r="C4" s="10" t="s">
        <v>5</v>
      </c>
    </row>
    <row r="6" spans="1:11">
      <c r="A6" t="s">
        <v>6</v>
      </c>
      <c r="C6" s="25">
        <v>2</v>
      </c>
      <c r="D6" t="s">
        <v>7</v>
      </c>
    </row>
    <row r="7" spans="1:11">
      <c r="A7" t="s">
        <v>8</v>
      </c>
      <c r="C7" s="25">
        <v>2</v>
      </c>
      <c r="D7" t="s">
        <v>7</v>
      </c>
    </row>
    <row r="8" spans="1:11">
      <c r="A8" t="s">
        <v>9</v>
      </c>
      <c r="C8" s="26">
        <v>0.12</v>
      </c>
      <c r="D8" t="s">
        <v>7</v>
      </c>
    </row>
    <row r="9" spans="1:11">
      <c r="A9" t="s">
        <v>10</v>
      </c>
      <c r="C9" s="7">
        <f>C6/2</f>
        <v>1</v>
      </c>
      <c r="D9" t="s">
        <v>7</v>
      </c>
    </row>
    <row r="10" spans="1:11">
      <c r="C10" s="7"/>
      <c r="J10" s="13" t="s">
        <v>11</v>
      </c>
      <c r="K10" s="13" t="s">
        <v>11</v>
      </c>
    </row>
    <row r="11" spans="1:11">
      <c r="A11" s="9" t="s">
        <v>12</v>
      </c>
      <c r="C11" s="7"/>
      <c r="J11" s="13" t="s">
        <v>13</v>
      </c>
      <c r="K11" s="13" t="s">
        <v>14</v>
      </c>
    </row>
    <row r="12" spans="1:11">
      <c r="J12" s="13" t="s">
        <v>15</v>
      </c>
      <c r="K12" s="13" t="s">
        <v>16</v>
      </c>
    </row>
    <row r="13" spans="1:11">
      <c r="C13" s="13" t="s">
        <v>17</v>
      </c>
      <c r="D13" s="13" t="s">
        <v>18</v>
      </c>
      <c r="E13" s="13" t="s">
        <v>19</v>
      </c>
      <c r="F13" s="13" t="s">
        <v>20</v>
      </c>
      <c r="G13" s="13" t="s">
        <v>21</v>
      </c>
      <c r="H13" s="13" t="s">
        <v>22</v>
      </c>
      <c r="I13" s="13" t="s">
        <v>23</v>
      </c>
      <c r="J13" s="13" t="s">
        <v>24</v>
      </c>
      <c r="K13" s="13" t="s">
        <v>25</v>
      </c>
    </row>
    <row r="14" spans="1:11">
      <c r="C14" s="13"/>
      <c r="D14" s="13" t="s">
        <v>7</v>
      </c>
      <c r="E14" s="13" t="s">
        <v>7</v>
      </c>
      <c r="F14" s="13" t="s">
        <v>26</v>
      </c>
      <c r="G14" s="13" t="s">
        <v>7</v>
      </c>
      <c r="H14" s="13" t="s">
        <v>27</v>
      </c>
      <c r="I14" s="13" t="s">
        <v>27</v>
      </c>
      <c r="J14" s="13" t="s">
        <v>27</v>
      </c>
      <c r="K14" s="13" t="s">
        <v>28</v>
      </c>
    </row>
    <row r="15" spans="1:11">
      <c r="A15" t="s">
        <v>29</v>
      </c>
      <c r="C15">
        <v>2</v>
      </c>
      <c r="D15" s="14">
        <f>C8</f>
        <v>0.12</v>
      </c>
      <c r="E15">
        <f>C6-(2*C8)</f>
        <v>1.76</v>
      </c>
      <c r="F15" s="14">
        <f>C15*D15*E15</f>
        <v>0.4224</v>
      </c>
      <c r="G15" s="6">
        <v>0</v>
      </c>
      <c r="H15" s="16" t="s">
        <v>30</v>
      </c>
      <c r="I15" s="14">
        <f>C15*D15*E15^3/12</f>
        <v>0.10903552</v>
      </c>
    </row>
    <row r="16" spans="1:11">
      <c r="A16" t="s">
        <v>31</v>
      </c>
      <c r="C16">
        <v>2</v>
      </c>
      <c r="D16" s="7">
        <f>C7</f>
        <v>2</v>
      </c>
      <c r="E16" s="14">
        <f>C8</f>
        <v>0.12</v>
      </c>
      <c r="F16" s="14">
        <f>C16*D16*E16</f>
        <v>0.48</v>
      </c>
      <c r="G16" s="14">
        <f>(C6-C8)/2</f>
        <v>0.94</v>
      </c>
      <c r="H16" s="14">
        <f>F16*G16*G16</f>
        <v>0.42412799999999989</v>
      </c>
      <c r="I16" s="16" t="s">
        <v>30</v>
      </c>
    </row>
    <row r="17" spans="1:11">
      <c r="D17" s="7"/>
      <c r="E17" s="14"/>
      <c r="F17" s="14"/>
      <c r="H17" s="14"/>
      <c r="I17" s="13" t="s">
        <v>72</v>
      </c>
      <c r="J17" s="29">
        <f>I15+H16</f>
        <v>0.53316351999999989</v>
      </c>
      <c r="K17" s="19">
        <f>J17/C9</f>
        <v>0.53316351999999989</v>
      </c>
    </row>
    <row r="19" spans="1:11">
      <c r="A19" t="s">
        <v>55</v>
      </c>
      <c r="C19" s="30">
        <v>0.75</v>
      </c>
      <c r="D19" t="s">
        <v>7</v>
      </c>
    </row>
    <row r="20" spans="1:11">
      <c r="C20" s="10"/>
      <c r="H20" s="13" t="s">
        <v>56</v>
      </c>
      <c r="I20" s="13" t="s">
        <v>56</v>
      </c>
      <c r="J20" s="13" t="s">
        <v>57</v>
      </c>
      <c r="K20" s="13" t="s">
        <v>58</v>
      </c>
    </row>
    <row r="21" spans="1:11">
      <c r="A21" t="s">
        <v>59</v>
      </c>
      <c r="C21" s="30">
        <v>1</v>
      </c>
      <c r="D21" s="14">
        <f>C8</f>
        <v>0.12</v>
      </c>
      <c r="E21">
        <f>C19</f>
        <v>0.75</v>
      </c>
      <c r="F21" s="14">
        <f>2*C21*D21*E21</f>
        <v>0.18</v>
      </c>
      <c r="G21" s="14">
        <f>G15</f>
        <v>0</v>
      </c>
      <c r="H21" s="16" t="s">
        <v>30</v>
      </c>
      <c r="I21" s="14">
        <f>-C21*D21*E21^3/12</f>
        <v>-4.2187499999999994E-3</v>
      </c>
    </row>
    <row r="22" spans="1:11">
      <c r="A22" t="s">
        <v>60</v>
      </c>
      <c r="C22" s="30">
        <v>0</v>
      </c>
      <c r="D22">
        <f>C19</f>
        <v>0.75</v>
      </c>
      <c r="E22" s="14">
        <f>C8</f>
        <v>0.12</v>
      </c>
      <c r="F22" s="14">
        <f>2*C22*D22*E22</f>
        <v>0</v>
      </c>
      <c r="G22" s="14">
        <f>G16</f>
        <v>0.94</v>
      </c>
      <c r="H22" s="14">
        <f>-F22*G22*G22</f>
        <v>0</v>
      </c>
      <c r="I22" s="16" t="s">
        <v>30</v>
      </c>
    </row>
    <row r="23" spans="1:11">
      <c r="I23" s="13" t="s">
        <v>61</v>
      </c>
      <c r="J23" s="29">
        <f>J17+I21+H22</f>
        <v>0.52894476999999984</v>
      </c>
      <c r="K23" s="19">
        <f>J23/C9</f>
        <v>0.52894476999999984</v>
      </c>
    </row>
    <row r="24" spans="1:11">
      <c r="A24" s="31" t="s">
        <v>62</v>
      </c>
      <c r="J24" s="32"/>
      <c r="K24" s="32"/>
    </row>
    <row r="25" spans="1:11">
      <c r="A25" s="31" t="s">
        <v>63</v>
      </c>
      <c r="C25" s="3"/>
      <c r="I25" s="23" t="s">
        <v>38</v>
      </c>
      <c r="J25" s="32"/>
      <c r="K25" s="32"/>
    </row>
    <row r="27" spans="1:11">
      <c r="A27" s="9" t="s">
        <v>32</v>
      </c>
      <c r="J27" s="13" t="s">
        <v>11</v>
      </c>
      <c r="K27" s="13" t="s">
        <v>11</v>
      </c>
    </row>
    <row r="28" spans="1:11">
      <c r="J28" s="13" t="s">
        <v>13</v>
      </c>
      <c r="K28" s="13" t="s">
        <v>14</v>
      </c>
    </row>
    <row r="29" spans="1:11">
      <c r="A29" t="s">
        <v>33</v>
      </c>
      <c r="C29" s="25">
        <f>2*C8</f>
        <v>0.24</v>
      </c>
      <c r="D29" t="s">
        <v>34</v>
      </c>
      <c r="E29" s="1">
        <f>C29/C8</f>
        <v>2</v>
      </c>
      <c r="F29" t="s">
        <v>35</v>
      </c>
      <c r="J29" s="13" t="s">
        <v>15</v>
      </c>
      <c r="K29" s="13" t="s">
        <v>16</v>
      </c>
    </row>
    <row r="30" spans="1:11">
      <c r="C30" s="20" t="str">
        <f>IF(C29&lt;C8,"ERROR: Radius must be greater than wall thickness","")</f>
        <v/>
      </c>
    </row>
    <row r="31" spans="1:11">
      <c r="C31" s="13" t="s">
        <v>17</v>
      </c>
      <c r="D31" s="13" t="s">
        <v>18</v>
      </c>
      <c r="E31" s="13" t="s">
        <v>19</v>
      </c>
      <c r="F31" s="13" t="s">
        <v>20</v>
      </c>
      <c r="G31" s="13" t="s">
        <v>21</v>
      </c>
      <c r="H31" s="13" t="s">
        <v>22</v>
      </c>
      <c r="I31" s="13" t="s">
        <v>23</v>
      </c>
      <c r="J31" s="13" t="s">
        <v>24</v>
      </c>
      <c r="K31" s="13" t="s">
        <v>25</v>
      </c>
    </row>
    <row r="32" spans="1:11">
      <c r="C32" s="13"/>
      <c r="D32" s="13" t="s">
        <v>7</v>
      </c>
      <c r="E32" s="13" t="s">
        <v>7</v>
      </c>
      <c r="F32" s="13" t="s">
        <v>26</v>
      </c>
      <c r="G32" s="13" t="s">
        <v>7</v>
      </c>
      <c r="H32" s="13" t="s">
        <v>27</v>
      </c>
      <c r="I32" s="13" t="s">
        <v>27</v>
      </c>
      <c r="J32" s="13" t="s">
        <v>27</v>
      </c>
      <c r="K32" s="13" t="s">
        <v>28</v>
      </c>
    </row>
    <row r="33" spans="1:11">
      <c r="A33" t="s">
        <v>29</v>
      </c>
      <c r="C33">
        <v>2</v>
      </c>
      <c r="D33" s="14">
        <f>C8</f>
        <v>0.12</v>
      </c>
      <c r="E33" s="7">
        <f>C6-C29-C29</f>
        <v>1.52</v>
      </c>
      <c r="F33" s="14">
        <f>C33*D33*E33</f>
        <v>0.36480000000000001</v>
      </c>
      <c r="G33">
        <v>0</v>
      </c>
      <c r="H33" s="16" t="s">
        <v>30</v>
      </c>
      <c r="I33" s="14">
        <f>C33*D33*E33^3/12</f>
        <v>7.0236160000000006E-2</v>
      </c>
    </row>
    <row r="34" spans="1:11">
      <c r="A34" t="s">
        <v>36</v>
      </c>
      <c r="C34">
        <v>4</v>
      </c>
      <c r="D34" s="14"/>
      <c r="F34" s="14">
        <f>C34*0.25*PI()*(C29^2-(C29-C8)^2)</f>
        <v>0.13571680263507907</v>
      </c>
      <c r="G34">
        <f>(E33/2)+0.625*(C29-C8/2)</f>
        <v>0.87250000000000005</v>
      </c>
      <c r="H34" s="14">
        <f>F34*G34*G34</f>
        <v>0.10331526423597043</v>
      </c>
      <c r="I34" s="16">
        <f>C34*C8*C29^3/12</f>
        <v>5.5296000000000002E-4</v>
      </c>
    </row>
    <row r="35" spans="1:11">
      <c r="A35" t="s">
        <v>31</v>
      </c>
      <c r="C35">
        <v>2</v>
      </c>
      <c r="D35" s="7">
        <f>C7-C29-C29</f>
        <v>1.52</v>
      </c>
      <c r="E35" s="14">
        <f>C8</f>
        <v>0.12</v>
      </c>
      <c r="F35" s="14">
        <f>C35*D35*E35</f>
        <v>0.36480000000000001</v>
      </c>
      <c r="G35">
        <f>(C6-C8)/2</f>
        <v>0.94</v>
      </c>
      <c r="H35" s="14">
        <f>F35*G35*G35</f>
        <v>0.32233728</v>
      </c>
      <c r="I35" s="16" t="s">
        <v>30</v>
      </c>
    </row>
    <row r="36" spans="1:11">
      <c r="F36" s="5"/>
      <c r="I36" s="13" t="s">
        <v>72</v>
      </c>
      <c r="J36" s="29">
        <f>SUM(H33:I35)</f>
        <v>0.49644166423597041</v>
      </c>
      <c r="K36" s="19">
        <f>J36/C9</f>
        <v>0.49644166423597041</v>
      </c>
    </row>
    <row r="38" spans="1:11">
      <c r="A38" t="s">
        <v>55</v>
      </c>
      <c r="C38" s="30">
        <v>0.75</v>
      </c>
      <c r="D38" t="s">
        <v>7</v>
      </c>
    </row>
    <row r="39" spans="1:11">
      <c r="H39" s="13" t="s">
        <v>56</v>
      </c>
      <c r="I39" s="13" t="s">
        <v>56</v>
      </c>
      <c r="J39" s="13" t="s">
        <v>57</v>
      </c>
      <c r="K39" s="13" t="s">
        <v>58</v>
      </c>
    </row>
    <row r="40" spans="1:11">
      <c r="A40" t="s">
        <v>64</v>
      </c>
      <c r="C40" s="30">
        <v>0</v>
      </c>
      <c r="D40" s="14">
        <f>C8</f>
        <v>0.12</v>
      </c>
      <c r="E40">
        <f>C38</f>
        <v>0.75</v>
      </c>
      <c r="F40" s="14">
        <f>2*C40*D40*E40</f>
        <v>0</v>
      </c>
      <c r="G40">
        <f>G33</f>
        <v>0</v>
      </c>
      <c r="H40" s="16" t="s">
        <v>30</v>
      </c>
      <c r="I40" s="14">
        <f>-C40*D40*E40^3/12</f>
        <v>0</v>
      </c>
    </row>
    <row r="41" spans="1:11">
      <c r="A41" t="s">
        <v>65</v>
      </c>
      <c r="C41" s="30">
        <v>1</v>
      </c>
      <c r="D41">
        <f>C38</f>
        <v>0.75</v>
      </c>
      <c r="E41" s="14">
        <f>C8</f>
        <v>0.12</v>
      </c>
      <c r="F41" s="14">
        <f>2*C41*D41*E41</f>
        <v>0.18</v>
      </c>
      <c r="G41">
        <f>G35</f>
        <v>0.94</v>
      </c>
      <c r="H41" s="14">
        <f>-F41*G41*G41</f>
        <v>-0.15904799999999997</v>
      </c>
      <c r="I41" s="16" t="s">
        <v>30</v>
      </c>
    </row>
    <row r="42" spans="1:11">
      <c r="F42" s="5"/>
      <c r="I42" s="13" t="s">
        <v>61</v>
      </c>
      <c r="J42" s="29">
        <f>J36+I40+H41</f>
        <v>0.33739366423597045</v>
      </c>
      <c r="K42" s="19">
        <f>J42/C9</f>
        <v>0.33739366423597045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sheetData>
    <row r="1" spans="1:12">
      <c r="A1" s="9" t="s">
        <v>66</v>
      </c>
    </row>
    <row r="4" spans="1:12">
      <c r="A4" s="9" t="s">
        <v>4</v>
      </c>
      <c r="C4" s="10" t="s">
        <v>5</v>
      </c>
    </row>
    <row r="5" spans="1:12">
      <c r="E5" t="s">
        <v>40</v>
      </c>
    </row>
    <row r="6" spans="1:12">
      <c r="A6" t="s">
        <v>41</v>
      </c>
      <c r="C6" s="25">
        <v>2</v>
      </c>
      <c r="D6" t="s">
        <v>7</v>
      </c>
      <c r="E6" s="8" t="s">
        <v>42</v>
      </c>
    </row>
    <row r="7" spans="1:12">
      <c r="A7" t="s">
        <v>43</v>
      </c>
      <c r="C7" s="25">
        <v>2</v>
      </c>
      <c r="D7" t="s">
        <v>7</v>
      </c>
      <c r="E7" s="8" t="s">
        <v>44</v>
      </c>
    </row>
    <row r="8" spans="1:12">
      <c r="A8" t="s">
        <v>9</v>
      </c>
      <c r="C8" s="26">
        <v>0.125</v>
      </c>
      <c r="D8" t="s">
        <v>7</v>
      </c>
      <c r="E8" s="8" t="s">
        <v>45</v>
      </c>
    </row>
    <row r="9" spans="1:12">
      <c r="C9" s="27"/>
      <c r="K9" s="13" t="s">
        <v>11</v>
      </c>
      <c r="L9" s="13" t="s">
        <v>11</v>
      </c>
    </row>
    <row r="10" spans="1:12">
      <c r="A10" s="9" t="s">
        <v>71</v>
      </c>
      <c r="C10" s="7"/>
      <c r="K10" s="13" t="s">
        <v>13</v>
      </c>
      <c r="L10" s="13" t="s">
        <v>14</v>
      </c>
    </row>
    <row r="11" spans="1:12">
      <c r="K11" s="13" t="s">
        <v>15</v>
      </c>
      <c r="L11" s="13" t="s">
        <v>16</v>
      </c>
    </row>
    <row r="12" spans="1:12">
      <c r="C12" s="13" t="s">
        <v>18</v>
      </c>
      <c r="D12" s="13" t="s">
        <v>19</v>
      </c>
      <c r="E12" s="13" t="s">
        <v>20</v>
      </c>
      <c r="F12" s="13" t="s">
        <v>21</v>
      </c>
      <c r="G12" s="13" t="s">
        <v>46</v>
      </c>
      <c r="H12" s="13" t="s">
        <v>47</v>
      </c>
      <c r="I12" s="13" t="s">
        <v>48</v>
      </c>
      <c r="J12" s="13" t="s">
        <v>23</v>
      </c>
      <c r="K12" s="13" t="s">
        <v>24</v>
      </c>
      <c r="L12" s="13" t="s">
        <v>25</v>
      </c>
    </row>
    <row r="13" spans="1:12">
      <c r="C13" s="13" t="s">
        <v>7</v>
      </c>
      <c r="D13" s="13" t="s">
        <v>7</v>
      </c>
      <c r="E13" s="13" t="s">
        <v>26</v>
      </c>
      <c r="F13" s="13" t="s">
        <v>7</v>
      </c>
      <c r="G13" s="13" t="s">
        <v>28</v>
      </c>
      <c r="H13" s="13" t="s">
        <v>7</v>
      </c>
      <c r="I13" s="13" t="s">
        <v>27</v>
      </c>
      <c r="J13" s="13" t="s">
        <v>27</v>
      </c>
      <c r="K13" s="13" t="s">
        <v>27</v>
      </c>
      <c r="L13" s="13" t="s">
        <v>28</v>
      </c>
    </row>
    <row r="14" spans="1:12">
      <c r="A14" t="s">
        <v>49</v>
      </c>
      <c r="C14" s="14">
        <f>C8</f>
        <v>0.125</v>
      </c>
      <c r="D14" s="14">
        <f>C6-C8</f>
        <v>1.875</v>
      </c>
      <c r="E14" s="14">
        <f>C14*D14</f>
        <v>0.234375</v>
      </c>
      <c r="F14" s="14">
        <f>D14/2</f>
        <v>0.9375</v>
      </c>
      <c r="G14" s="14">
        <f>E14*F14</f>
        <v>0.2197265625</v>
      </c>
      <c r="H14" s="14">
        <f>ABS(F14-F$17)</f>
        <v>0.5161290322580645</v>
      </c>
      <c r="I14" s="14">
        <f>E14*H14^2</f>
        <v>6.2434963579604569E-2</v>
      </c>
      <c r="J14" s="14">
        <f>C14*D14^3/12</f>
        <v>6.866455078125E-2</v>
      </c>
    </row>
    <row r="15" spans="1:12">
      <c r="A15" t="s">
        <v>50</v>
      </c>
      <c r="C15" s="7">
        <f>C7</f>
        <v>2</v>
      </c>
      <c r="D15" s="14">
        <f>C8</f>
        <v>0.125</v>
      </c>
      <c r="E15" s="14">
        <f>C15*D15</f>
        <v>0.25</v>
      </c>
      <c r="F15" s="14">
        <f>D14+D15/2</f>
        <v>1.9375</v>
      </c>
      <c r="G15" s="14">
        <f>E15*F15</f>
        <v>0.484375</v>
      </c>
      <c r="H15" s="14">
        <f>ABS(F15-F$17)</f>
        <v>0.4838709677419355</v>
      </c>
      <c r="I15" s="14">
        <f>E15*H15^2</f>
        <v>5.8532778355879299E-2</v>
      </c>
      <c r="J15" s="16" t="s">
        <v>30</v>
      </c>
    </row>
    <row r="16" spans="1:12">
      <c r="A16" t="s">
        <v>2</v>
      </c>
      <c r="C16" s="7"/>
      <c r="D16" s="14"/>
      <c r="E16" s="18">
        <f>SUM(E14:E15)</f>
        <v>0.484375</v>
      </c>
      <c r="G16" s="18">
        <f>SUM(G14:G15)</f>
        <v>0.7041015625</v>
      </c>
      <c r="I16" s="14"/>
      <c r="J16" s="16"/>
      <c r="K16" s="29">
        <f>I14+I15+J14</f>
        <v>0.18963229271673387</v>
      </c>
      <c r="L16" s="19">
        <f>K16/F18</f>
        <v>0.1304543927704577</v>
      </c>
    </row>
    <row r="17" spans="1:12">
      <c r="A17" t="s">
        <v>51</v>
      </c>
      <c r="F17" s="14">
        <f>G16/E16</f>
        <v>1.4536290322580645</v>
      </c>
      <c r="G17" s="14"/>
      <c r="H17" s="14"/>
    </row>
    <row r="18" spans="1:12">
      <c r="A18" t="s">
        <v>10</v>
      </c>
      <c r="F18" s="14">
        <f>MAX(F17,C6-F17)</f>
        <v>1.4536290322580645</v>
      </c>
      <c r="G18" s="14"/>
      <c r="H18" s="14"/>
      <c r="I18" s="23" t="s">
        <v>38</v>
      </c>
    </row>
    <row r="19" spans="1:12">
      <c r="A19" t="s">
        <v>37</v>
      </c>
      <c r="E19" s="22">
        <f>12*7854*0.0254^3/0.454*E16</f>
        <v>1.6477797440814976</v>
      </c>
    </row>
    <row r="20" spans="1:12">
      <c r="E20" s="28"/>
    </row>
    <row r="21" spans="1:12">
      <c r="A21" t="s">
        <v>55</v>
      </c>
      <c r="C21" s="30">
        <f>3/8</f>
        <v>0.375</v>
      </c>
      <c r="D21" t="s">
        <v>7</v>
      </c>
      <c r="G21" s="3"/>
      <c r="H21" s="3"/>
      <c r="I21" s="3"/>
      <c r="J21" s="3"/>
      <c r="K21" s="33"/>
      <c r="L21" s="33"/>
    </row>
    <row r="22" spans="1:12">
      <c r="C22" s="10"/>
      <c r="D22" s="13" t="s">
        <v>18</v>
      </c>
      <c r="E22" s="13" t="s">
        <v>19</v>
      </c>
      <c r="F22" s="13" t="s">
        <v>20</v>
      </c>
      <c r="G22" s="33"/>
      <c r="H22" s="33"/>
      <c r="I22" s="33"/>
      <c r="J22" s="33"/>
      <c r="K22" s="33"/>
      <c r="L22" s="33"/>
    </row>
    <row r="23" spans="1:12">
      <c r="A23" t="s">
        <v>59</v>
      </c>
      <c r="C23" s="30">
        <v>0</v>
      </c>
      <c r="D23" s="14">
        <f>C8</f>
        <v>0.125</v>
      </c>
      <c r="E23">
        <f>C21</f>
        <v>0.375</v>
      </c>
      <c r="F23" s="14">
        <f>C23*D23*E23</f>
        <v>0</v>
      </c>
      <c r="G23" s="5"/>
      <c r="H23" s="5"/>
      <c r="I23" s="3"/>
      <c r="J23" s="3"/>
      <c r="K23" s="34"/>
      <c r="L23" s="5"/>
    </row>
    <row r="24" spans="1:12">
      <c r="A24" t="s">
        <v>60</v>
      </c>
      <c r="C24" s="30">
        <v>1</v>
      </c>
      <c r="D24">
        <f>C21</f>
        <v>0.375</v>
      </c>
      <c r="E24" s="14">
        <f>C8</f>
        <v>0.125</v>
      </c>
      <c r="F24" s="14">
        <f>C24*D24*E24</f>
        <v>4.6875E-2</v>
      </c>
      <c r="G24" s="5"/>
      <c r="H24" s="5"/>
      <c r="I24" s="3"/>
      <c r="J24" s="3"/>
      <c r="K24" s="5"/>
      <c r="L24" s="34"/>
    </row>
    <row r="25" spans="1:12">
      <c r="A25" s="31" t="s">
        <v>67</v>
      </c>
      <c r="F25" s="5"/>
      <c r="G25" s="5"/>
      <c r="H25" s="5"/>
      <c r="I25" s="3"/>
      <c r="J25" s="3"/>
      <c r="K25" s="3"/>
      <c r="L25" s="3"/>
    </row>
    <row r="26" spans="1:12">
      <c r="A26" s="31" t="s">
        <v>68</v>
      </c>
      <c r="G26" s="5"/>
      <c r="H26" s="3"/>
      <c r="I26" s="3"/>
      <c r="J26" s="3"/>
      <c r="K26" s="3"/>
      <c r="L26" s="3"/>
    </row>
    <row r="27" spans="1:12">
      <c r="C27" s="3"/>
      <c r="G27" s="3"/>
      <c r="H27" s="3"/>
      <c r="I27" s="3"/>
      <c r="J27" s="3"/>
      <c r="K27" s="3"/>
      <c r="L27" s="35"/>
    </row>
    <row r="28" spans="1:12">
      <c r="A28" s="9" t="s">
        <v>69</v>
      </c>
    </row>
    <row r="29" spans="1:12">
      <c r="C29" s="13" t="s">
        <v>18</v>
      </c>
      <c r="D29" s="13" t="s">
        <v>19</v>
      </c>
      <c r="E29" s="13" t="s">
        <v>20</v>
      </c>
      <c r="F29" s="13" t="s">
        <v>21</v>
      </c>
      <c r="G29" s="13" t="s">
        <v>46</v>
      </c>
      <c r="H29" s="13" t="s">
        <v>47</v>
      </c>
      <c r="I29" s="13" t="s">
        <v>48</v>
      </c>
      <c r="J29" s="13" t="s">
        <v>23</v>
      </c>
      <c r="K29" s="13" t="s">
        <v>24</v>
      </c>
      <c r="L29" s="13" t="s">
        <v>25</v>
      </c>
    </row>
    <row r="30" spans="1:12">
      <c r="C30" s="13" t="s">
        <v>7</v>
      </c>
      <c r="D30" s="13" t="s">
        <v>7</v>
      </c>
      <c r="E30" s="13" t="s">
        <v>26</v>
      </c>
      <c r="F30" s="13" t="s">
        <v>7</v>
      </c>
      <c r="G30" s="13" t="s">
        <v>28</v>
      </c>
      <c r="H30" s="13" t="s">
        <v>7</v>
      </c>
      <c r="I30" s="13" t="s">
        <v>27</v>
      </c>
      <c r="J30" s="13" t="s">
        <v>27</v>
      </c>
      <c r="K30" s="13" t="s">
        <v>27</v>
      </c>
      <c r="L30" s="13" t="s">
        <v>28</v>
      </c>
    </row>
    <row r="31" spans="1:12">
      <c r="A31" t="s">
        <v>49</v>
      </c>
      <c r="C31" s="14">
        <f>C14</f>
        <v>0.125</v>
      </c>
      <c r="D31" s="14">
        <f>D14</f>
        <v>1.875</v>
      </c>
      <c r="E31" s="14">
        <f>C31*D31-F23</f>
        <v>0.234375</v>
      </c>
      <c r="F31" s="14">
        <f>F14</f>
        <v>0.9375</v>
      </c>
      <c r="G31" s="14">
        <f>E31*F31</f>
        <v>0.2197265625</v>
      </c>
      <c r="H31" s="14">
        <f>ABS(F31-F$34)</f>
        <v>0.46428571428571419</v>
      </c>
      <c r="I31" s="14">
        <f>E31*H31^2</f>
        <v>5.0522161989795901E-2</v>
      </c>
      <c r="J31" s="14">
        <f>C31*D31^3/12-C23*D23*E23^3/12</f>
        <v>6.866455078125E-2</v>
      </c>
    </row>
    <row r="32" spans="1:12">
      <c r="A32" t="s">
        <v>50</v>
      </c>
      <c r="C32" s="14">
        <f>C15</f>
        <v>2</v>
      </c>
      <c r="D32" s="14">
        <f>D15</f>
        <v>0.125</v>
      </c>
      <c r="E32" s="14">
        <f>C32*D32-F24</f>
        <v>0.203125</v>
      </c>
      <c r="F32" s="14">
        <f>F15</f>
        <v>1.9375</v>
      </c>
      <c r="G32" s="14">
        <f>E32*F32</f>
        <v>0.3935546875</v>
      </c>
      <c r="H32" s="14">
        <f>ABS(F32-F$34)</f>
        <v>0.53571428571428581</v>
      </c>
      <c r="I32" s="14">
        <f>E32*H32^2</f>
        <v>5.8294802295918387E-2</v>
      </c>
      <c r="J32" s="16" t="s">
        <v>30</v>
      </c>
    </row>
    <row r="33" spans="1:12">
      <c r="A33" t="s">
        <v>2</v>
      </c>
      <c r="C33" s="7"/>
      <c r="D33" s="14"/>
      <c r="E33" s="18">
        <f>SUM(E31:E32)</f>
        <v>0.4375</v>
      </c>
      <c r="G33" s="18">
        <f>SUM(G31:G32)</f>
        <v>0.61328125</v>
      </c>
      <c r="I33" s="14"/>
      <c r="J33" s="16"/>
      <c r="K33" s="29">
        <f>I31+I32+J31</f>
        <v>0.1774815150669643</v>
      </c>
      <c r="L33" s="19">
        <f>K33/F35</f>
        <v>0.1266110171178344</v>
      </c>
    </row>
    <row r="34" spans="1:12">
      <c r="A34" t="s">
        <v>51</v>
      </c>
      <c r="F34" s="14">
        <f>G33/E33</f>
        <v>1.4017857142857142</v>
      </c>
      <c r="G34" s="14"/>
      <c r="H34" s="14"/>
      <c r="J34" t="s">
        <v>70</v>
      </c>
      <c r="K34" s="53">
        <f>(K33-K16)/K16</f>
        <v>-6.4075466660733688E-2</v>
      </c>
      <c r="L34" s="36">
        <f>(L33-L16)/L16</f>
        <v>-2.9461450634214733E-2</v>
      </c>
    </row>
    <row r="35" spans="1:12">
      <c r="A35" t="s">
        <v>10</v>
      </c>
      <c r="F35" s="14">
        <f>MAX(F34,C23-F34)</f>
        <v>1.4017857142857142</v>
      </c>
      <c r="G35" s="14"/>
      <c r="H35" s="14"/>
    </row>
    <row r="36" spans="1:12">
      <c r="A36" s="3"/>
      <c r="B36" s="3"/>
      <c r="C36" s="3"/>
      <c r="D36" s="3"/>
      <c r="E36" s="28"/>
      <c r="F36" s="3"/>
      <c r="I36" s="23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sheetData>
    <row r="1" spans="1:6">
      <c r="A1" s="9" t="s">
        <v>73</v>
      </c>
    </row>
    <row r="4" spans="1:6">
      <c r="A4" s="9" t="s">
        <v>4</v>
      </c>
      <c r="C4" s="10" t="s">
        <v>5</v>
      </c>
    </row>
    <row r="6" spans="1:6">
      <c r="A6" t="s">
        <v>74</v>
      </c>
      <c r="C6" s="11">
        <v>2.5</v>
      </c>
      <c r="D6" t="s">
        <v>7</v>
      </c>
    </row>
    <row r="7" spans="1:6">
      <c r="A7" t="s">
        <v>9</v>
      </c>
      <c r="C7" s="12">
        <v>0.25</v>
      </c>
      <c r="D7" t="s">
        <v>7</v>
      </c>
    </row>
    <row r="8" spans="1:6">
      <c r="A8" t="s">
        <v>10</v>
      </c>
      <c r="C8" s="7">
        <f>C6/2</f>
        <v>1.25</v>
      </c>
      <c r="D8" t="s">
        <v>7</v>
      </c>
    </row>
    <row r="9" spans="1:6">
      <c r="C9" s="7"/>
      <c r="E9" s="13"/>
      <c r="F9" s="13"/>
    </row>
    <row r="10" spans="1:6">
      <c r="A10" s="9"/>
      <c r="C10" s="7"/>
      <c r="E10" s="13" t="s">
        <v>13</v>
      </c>
      <c r="F10" s="13" t="s">
        <v>14</v>
      </c>
    </row>
    <row r="11" spans="1:6">
      <c r="E11" s="13" t="s">
        <v>15</v>
      </c>
      <c r="F11" s="13" t="s">
        <v>16</v>
      </c>
    </row>
    <row r="12" spans="1:6">
      <c r="C12" s="13" t="s">
        <v>17</v>
      </c>
      <c r="D12" s="13" t="s">
        <v>20</v>
      </c>
      <c r="E12" s="13" t="s">
        <v>24</v>
      </c>
      <c r="F12" s="13" t="s">
        <v>25</v>
      </c>
    </row>
    <row r="13" spans="1:6">
      <c r="C13" s="13"/>
      <c r="D13" s="13" t="s">
        <v>26</v>
      </c>
      <c r="E13" s="13" t="s">
        <v>27</v>
      </c>
      <c r="F13" s="13" t="s">
        <v>28</v>
      </c>
    </row>
    <row r="14" spans="1:6">
      <c r="A14" t="s">
        <v>75</v>
      </c>
      <c r="C14">
        <v>1</v>
      </c>
      <c r="D14" s="14">
        <f>(C6/2)^2*PI()</f>
        <v>4.908738521234052</v>
      </c>
      <c r="E14">
        <f>PI()/4*(C6/2)^4</f>
        <v>1.9174759848570515</v>
      </c>
    </row>
    <row r="15" spans="1:6">
      <c r="A15" t="s">
        <v>76</v>
      </c>
      <c r="C15">
        <v>1</v>
      </c>
      <c r="D15" s="14">
        <f>(C6/2-C7)^2*PI()</f>
        <v>3.1415926535897931</v>
      </c>
      <c r="E15">
        <f>PI()/4*(C6/2-C7)^4</f>
        <v>0.78539816339744828</v>
      </c>
    </row>
    <row r="16" spans="1:6">
      <c r="A16" t="s">
        <v>2</v>
      </c>
      <c r="D16" s="18">
        <f>D14-D15</f>
        <v>1.7671458676442588</v>
      </c>
      <c r="E16" s="18">
        <f>E14-E15</f>
        <v>1.1320778214596032</v>
      </c>
      <c r="F16" s="19">
        <f>E16/C8</f>
        <v>0.90566225716768256</v>
      </c>
    </row>
    <row r="19" spans="1:6">
      <c r="A19" t="s">
        <v>37</v>
      </c>
      <c r="D19" s="22">
        <f>12*7854*0.0254^3/0.454*D16</f>
        <v>6.0115967288599395</v>
      </c>
      <c r="E19" s="23"/>
      <c r="F19" s="23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sheetData>
    <row r="1" spans="1:9">
      <c r="A1" s="9" t="s">
        <v>99</v>
      </c>
    </row>
    <row r="3" spans="1:9">
      <c r="A3" t="s">
        <v>100</v>
      </c>
    </row>
    <row r="5" spans="1:9">
      <c r="A5" t="s">
        <v>77</v>
      </c>
    </row>
    <row r="6" spans="1:9">
      <c r="E6" s="10"/>
    </row>
    <row r="7" spans="1:9">
      <c r="B7" s="1"/>
      <c r="C7" s="1" t="s">
        <v>78</v>
      </c>
      <c r="D7" s="1" t="s">
        <v>79</v>
      </c>
      <c r="E7" s="1"/>
      <c r="F7" s="1"/>
      <c r="G7" s="1"/>
      <c r="H7" s="1" t="s">
        <v>80</v>
      </c>
      <c r="I7" s="1"/>
    </row>
    <row r="8" spans="1:9">
      <c r="A8" t="s">
        <v>81</v>
      </c>
      <c r="B8" s="1"/>
      <c r="C8" s="1" t="s">
        <v>82</v>
      </c>
      <c r="D8" s="1" t="s">
        <v>83</v>
      </c>
      <c r="E8" s="1"/>
      <c r="F8" s="1"/>
      <c r="G8" s="1"/>
      <c r="H8" s="1" t="s">
        <v>84</v>
      </c>
      <c r="I8" s="1"/>
    </row>
    <row r="9" spans="1:9">
      <c r="A9" t="s">
        <v>85</v>
      </c>
      <c r="B9" s="1" t="s">
        <v>20</v>
      </c>
      <c r="C9" s="1" t="s">
        <v>86</v>
      </c>
      <c r="D9" s="1" t="s">
        <v>87</v>
      </c>
      <c r="E9" s="1"/>
      <c r="F9" s="1" t="s">
        <v>46</v>
      </c>
      <c r="H9" s="1" t="s">
        <v>88</v>
      </c>
      <c r="I9" s="1" t="s">
        <v>89</v>
      </c>
    </row>
    <row r="10" spans="1:9">
      <c r="B10" s="1" t="s">
        <v>26</v>
      </c>
      <c r="C10" s="1" t="s">
        <v>7</v>
      </c>
      <c r="D10" s="1" t="s">
        <v>27</v>
      </c>
      <c r="E10" s="1"/>
      <c r="F10" s="1" t="s">
        <v>28</v>
      </c>
      <c r="H10" s="1" t="s">
        <v>7</v>
      </c>
      <c r="I10" s="1" t="s">
        <v>27</v>
      </c>
    </row>
    <row r="11" spans="1:9">
      <c r="B11" s="1"/>
      <c r="C11" s="1"/>
      <c r="D11" s="1"/>
      <c r="E11" s="1"/>
      <c r="F11" s="1"/>
      <c r="I11" s="1"/>
    </row>
    <row r="12" spans="1:9">
      <c r="A12" t="s">
        <v>90</v>
      </c>
      <c r="B12" s="37">
        <v>1.105</v>
      </c>
      <c r="C12" s="38">
        <v>1.5</v>
      </c>
      <c r="D12" s="39">
        <v>1.333</v>
      </c>
      <c r="E12" s="40"/>
      <c r="F12" s="41">
        <f>B12*C12</f>
        <v>1.6575</v>
      </c>
      <c r="H12" s="42">
        <f>C12-F$18</f>
        <v>-1.2956570155902001</v>
      </c>
      <c r="I12" s="41">
        <f>B12*(H12^2)</f>
        <v>1.8549934477631549</v>
      </c>
    </row>
    <row r="13" spans="1:9">
      <c r="A13" t="s">
        <v>91</v>
      </c>
      <c r="B13" s="43">
        <v>1.089</v>
      </c>
      <c r="C13" s="44">
        <v>3.5</v>
      </c>
      <c r="D13" s="45">
        <v>0.113</v>
      </c>
      <c r="E13" s="40"/>
      <c r="F13" s="41">
        <f>B13*C13</f>
        <v>3.8114999999999997</v>
      </c>
      <c r="H13" s="42">
        <f>C13-F$18</f>
        <v>0.70434298440979992</v>
      </c>
      <c r="I13" s="41">
        <f>B13*(H13^2)</f>
        <v>0.54025185421947364</v>
      </c>
    </row>
    <row r="14" spans="1:9">
      <c r="A14" t="s">
        <v>92</v>
      </c>
      <c r="B14" s="46">
        <v>0.5</v>
      </c>
      <c r="C14" s="47">
        <v>4.125</v>
      </c>
      <c r="D14" s="48">
        <v>0</v>
      </c>
      <c r="E14" s="40"/>
      <c r="F14" s="41">
        <f>B14*C14</f>
        <v>2.0625</v>
      </c>
      <c r="H14" s="42">
        <f>C14-F$18</f>
        <v>1.3293429844097999</v>
      </c>
      <c r="I14" s="41">
        <f>B14*(H14^2)</f>
        <v>0.88357638509977676</v>
      </c>
    </row>
    <row r="15" spans="1:9">
      <c r="B15" s="1"/>
      <c r="C15" s="1"/>
      <c r="D15" s="1"/>
      <c r="E15" s="2"/>
      <c r="F15" s="1"/>
      <c r="H15" s="1"/>
      <c r="I15" s="1"/>
    </row>
    <row r="16" spans="1:9">
      <c r="B16" s="49">
        <f>SUM(B12:B14)</f>
        <v>2.694</v>
      </c>
      <c r="C16" s="1"/>
      <c r="D16" s="49">
        <f>SUM(D12:D14)</f>
        <v>1.446</v>
      </c>
      <c r="E16" s="4"/>
      <c r="F16" s="49">
        <f>SUM(F12:F14)</f>
        <v>7.5314999999999994</v>
      </c>
      <c r="H16" s="1"/>
      <c r="I16" s="49">
        <f>SUM(I12:I14)</f>
        <v>3.278821687082405</v>
      </c>
    </row>
    <row r="17" spans="1:9">
      <c r="B17" s="1"/>
      <c r="C17" s="1"/>
      <c r="D17" s="1"/>
      <c r="E17" s="1"/>
      <c r="F17" s="1"/>
      <c r="H17" s="50" t="s">
        <v>93</v>
      </c>
      <c r="I17" s="41">
        <f>D16</f>
        <v>1.446</v>
      </c>
    </row>
    <row r="18" spans="1:9">
      <c r="A18" t="s">
        <v>94</v>
      </c>
      <c r="B18" s="1"/>
      <c r="C18" s="1"/>
      <c r="D18" s="1"/>
      <c r="E18" s="1"/>
      <c r="F18" s="42">
        <f>F16/B16</f>
        <v>2.7956570155902001</v>
      </c>
      <c r="H18" s="1"/>
      <c r="I18" s="49">
        <f>SUM(I16:I17)</f>
        <v>4.7248216870824047</v>
      </c>
    </row>
    <row r="19" spans="1:9">
      <c r="B19" s="1"/>
      <c r="C19" s="1"/>
      <c r="D19" s="1"/>
      <c r="E19" s="1"/>
      <c r="F19" s="1"/>
      <c r="G19" s="1"/>
      <c r="H19" s="1"/>
      <c r="I19" s="1"/>
    </row>
    <row r="20" spans="1:9">
      <c r="A20" t="s">
        <v>101</v>
      </c>
      <c r="B20" s="1"/>
      <c r="C20" s="1"/>
      <c r="D20" s="1"/>
      <c r="E20" s="1"/>
      <c r="F20" s="51">
        <v>4.25</v>
      </c>
      <c r="G20" s="1"/>
      <c r="H20" s="10" t="s">
        <v>5</v>
      </c>
      <c r="I20" s="1"/>
    </row>
    <row r="21" spans="1:9">
      <c r="B21" s="1"/>
      <c r="C21" s="1"/>
      <c r="D21" s="1"/>
      <c r="E21" s="1"/>
      <c r="F21" s="1"/>
      <c r="G21" s="1"/>
      <c r="H21" s="1"/>
      <c r="I21" s="1"/>
    </row>
    <row r="22" spans="1:9">
      <c r="A22" t="s">
        <v>95</v>
      </c>
      <c r="B22" s="1"/>
      <c r="C22" s="1"/>
      <c r="D22" s="1"/>
      <c r="E22" s="1"/>
      <c r="F22" s="42">
        <f>F20-F18</f>
        <v>1.4543429844097999</v>
      </c>
      <c r="G22" s="1"/>
      <c r="H22" s="1"/>
      <c r="I22" s="1"/>
    </row>
    <row r="23" spans="1:9">
      <c r="B23" s="1"/>
      <c r="C23" s="1"/>
      <c r="D23" s="1"/>
      <c r="E23" s="1"/>
      <c r="F23" s="1"/>
      <c r="G23" s="1"/>
      <c r="H23" s="1"/>
      <c r="I23" s="1"/>
    </row>
    <row r="24" spans="1:9">
      <c r="A24" t="s">
        <v>96</v>
      </c>
      <c r="B24" s="1"/>
      <c r="C24" s="1"/>
      <c r="D24" s="1"/>
      <c r="E24" s="1"/>
      <c r="F24" s="42">
        <f>MAX(F18,F22)</f>
        <v>2.7956570155902001</v>
      </c>
      <c r="G24" s="1"/>
      <c r="H24" s="1"/>
      <c r="I24" s="1"/>
    </row>
    <row r="25" spans="1:9">
      <c r="B25" s="1"/>
      <c r="C25" s="1"/>
      <c r="D25" s="1"/>
      <c r="E25" s="1"/>
      <c r="F25" s="1"/>
      <c r="G25" s="1"/>
      <c r="H25" s="1"/>
      <c r="I25" s="1"/>
    </row>
    <row r="26" spans="1:9">
      <c r="A26" t="s">
        <v>97</v>
      </c>
      <c r="F26" s="41">
        <f>I18</f>
        <v>4.7248216870824047</v>
      </c>
    </row>
    <row r="28" spans="1:9">
      <c r="A28" t="s">
        <v>98</v>
      </c>
      <c r="F28" s="52">
        <f>F26/F24</f>
        <v>1.6900577076279626</v>
      </c>
      <c r="H28" s="2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Plain tube</vt:lpstr>
      <vt:lpstr>Angle&amp;channel</vt:lpstr>
      <vt:lpstr>Tube+hole</vt:lpstr>
      <vt:lpstr>Angle+hole</vt:lpstr>
      <vt:lpstr>Round tube</vt:lpstr>
      <vt:lpstr>Stacked sections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2013-07-28T15:24:50Z</cp:lastPrinted>
  <dcterms:created xsi:type="dcterms:W3CDTF">2013-06-22T08:12:47Z</dcterms:created>
  <dcterms:modified xsi:type="dcterms:W3CDTF">2013-08-06T12:28:19Z</dcterms:modified>
</cp:coreProperties>
</file>